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00" windowHeight="17630"/>
  </bookViews>
  <sheets>
    <sheet name="Camera worksheet" sheetId="1" r:id="rId1"/>
    <sheet name="Chart 1 for PPT" sheetId="4" r:id="rId2"/>
    <sheet name="Chart 2 for PPT" sheetId="2" r:id="rId3"/>
    <sheet name="Chart 3 for PPT" sheetId="3" r:id="rId4"/>
  </sheets>
  <definedNames>
    <definedName name="_xlnm.Print_Area" localSheetId="0">'Camera worksheet'!$B$1:$H$42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<sst xmlns="http://schemas.openxmlformats.org/spreadsheetml/2006/main" count="150" uniqueCount="76">
  <si>
    <t>Telescope-Camera Image Scale Worksheet</t>
  </si>
  <si>
    <t>NOTE: Enter your data in the cells with green font and borders.  The rest is calculated.</t>
  </si>
  <si>
    <t>Pixel</t>
  </si>
  <si>
    <t>Sensor Size</t>
  </si>
  <si>
    <t>Mega-</t>
  </si>
  <si>
    <t>Camera</t>
  </si>
  <si>
    <r>
      <t xml:space="preserve">Size </t>
    </r>
    <r>
      <rPr>
        <sz val="11"/>
        <color theme="1"/>
        <rFont val="Times New Roman"/>
        <charset val="134"/>
      </rPr>
      <t>μ</t>
    </r>
    <r>
      <rPr>
        <sz val="11"/>
        <color theme="1"/>
        <rFont val="Calibri"/>
        <charset val="134"/>
        <scheme val="minor"/>
      </rPr>
      <t>m</t>
    </r>
  </si>
  <si>
    <t>P wide</t>
  </si>
  <si>
    <t>P high</t>
  </si>
  <si>
    <t>MM wide</t>
  </si>
  <si>
    <t>Pixels</t>
  </si>
  <si>
    <t>Camera 1</t>
  </si>
  <si>
    <t>Camera 2</t>
  </si>
  <si>
    <t>Camera 3</t>
  </si>
  <si>
    <t>Camera 4</t>
  </si>
  <si>
    <t>Scope</t>
  </si>
  <si>
    <t>Objective</t>
  </si>
  <si>
    <t>Focal L.</t>
  </si>
  <si>
    <t>Focal R</t>
  </si>
  <si>
    <t>Scale</t>
  </si>
  <si>
    <t>FOV arcmin</t>
  </si>
  <si>
    <t>FOV deg</t>
  </si>
  <si>
    <t>Scope 1</t>
  </si>
  <si>
    <t>Scope 2</t>
  </si>
  <si>
    <t>Scope 3</t>
  </si>
  <si>
    <t>Scope 4</t>
  </si>
  <si>
    <t>Scope 5</t>
  </si>
  <si>
    <t>Image scale = (pixel size/focal length) x 206</t>
  </si>
  <si>
    <t>FOV arcmin = (chip width * 3460)/(telescope focal length)</t>
  </si>
  <si>
    <t>Pixel size</t>
  </si>
  <si>
    <t>MP</t>
  </si>
  <si>
    <t>ASI174mm mini</t>
  </si>
  <si>
    <t>EOS 450D</t>
  </si>
  <si>
    <t>ASI174</t>
  </si>
  <si>
    <t>Lunt 60 mm solar</t>
  </si>
  <si>
    <t>Onyx 80 EDF</t>
  </si>
  <si>
    <t>Short Tube 120</t>
  </si>
  <si>
    <t>AT6RC</t>
  </si>
  <si>
    <t>ETX 125</t>
  </si>
  <si>
    <t>LX-90</t>
  </si>
  <si>
    <t>10" SCT</t>
  </si>
  <si>
    <t>Image scale = pixel size/focal length x 206</t>
  </si>
  <si>
    <t>Sensor size</t>
  </si>
  <si>
    <t>Image Scale</t>
  </si>
  <si>
    <t>FOV (Arc min)</t>
  </si>
  <si>
    <t>Cost</t>
  </si>
  <si>
    <t>Sensor</t>
  </si>
  <si>
    <t>Wide mm</t>
  </si>
  <si>
    <t>High mm</t>
  </si>
  <si>
    <t>Wide px</t>
  </si>
  <si>
    <t>High px</t>
  </si>
  <si>
    <t>500mm</t>
  </si>
  <si>
    <t>1000mm</t>
  </si>
  <si>
    <t>1500mm</t>
  </si>
  <si>
    <t>2000mm</t>
  </si>
  <si>
    <t>ASI461MM Pro</t>
  </si>
  <si>
    <t>IMX461</t>
  </si>
  <si>
    <t>ASI2400MC Pro</t>
  </si>
  <si>
    <t>IMX410</t>
  </si>
  <si>
    <t>ASI2600MM Pro</t>
  </si>
  <si>
    <t>IMX571</t>
  </si>
  <si>
    <t>ASI294MM Pro</t>
  </si>
  <si>
    <t>IMX492</t>
  </si>
  <si>
    <t>ASI533MM Pro</t>
  </si>
  <si>
    <t>IMX533</t>
  </si>
  <si>
    <t>ASI585MC Pro</t>
  </si>
  <si>
    <t>IMX585</t>
  </si>
  <si>
    <t>ASI715MC</t>
  </si>
  <si>
    <t>IMX715</t>
  </si>
  <si>
    <t>ASI678MC</t>
  </si>
  <si>
    <t>IMX678</t>
  </si>
  <si>
    <t>ASI585MC</t>
  </si>
  <si>
    <t>IMX249</t>
  </si>
  <si>
    <t xml:space="preserve">FOV arc min = (width of chip mm * 3460) /             </t>
  </si>
  <si>
    <t>(focal length of optic mm)</t>
  </si>
  <si>
    <t>Image Scale = (Pixel size/focal length x206)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</si>
</sst>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  <numFmt numFmtId="179" formatCode="&quot;$&quot;#,##0;\-&quot;$&quot;#,##0"/>
  </numFmts>
  <fonts count="24">
    <font>
      <sz val="11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B05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Times New Roman"/>
      <charset val="134"/>
    </font>
  </fonts>
  <fills count="42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5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0" applyNumberFormat="0" applyFill="0" applyAlignment="0" applyProtection="0">
      <alignment vertical="center"/>
    </xf>
    <xf numFmtId="0" fontId="10" fillId="0" borderId="60" applyNumberFormat="0" applyFill="0" applyAlignment="0" applyProtection="0">
      <alignment vertical="center"/>
    </xf>
    <xf numFmtId="0" fontId="11" fillId="0" borderId="6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62" applyNumberFormat="0" applyAlignment="0" applyProtection="0">
      <alignment vertical="center"/>
    </xf>
    <xf numFmtId="0" fontId="13" fillId="13" borderId="63" applyNumberFormat="0" applyAlignment="0" applyProtection="0">
      <alignment vertical="center"/>
    </xf>
    <xf numFmtId="0" fontId="14" fillId="13" borderId="62" applyNumberFormat="0" applyAlignment="0" applyProtection="0">
      <alignment vertical="center"/>
    </xf>
    <xf numFmtId="0" fontId="15" fillId="14" borderId="64" applyNumberFormat="0" applyAlignment="0" applyProtection="0">
      <alignment vertical="center"/>
    </xf>
    <xf numFmtId="0" fontId="16" fillId="0" borderId="65" applyNumberFormat="0" applyFill="0" applyAlignment="0" applyProtection="0">
      <alignment vertical="center"/>
    </xf>
    <xf numFmtId="0" fontId="17" fillId="0" borderId="6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3" borderId="5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6" xfId="0" applyBorder="1">
      <alignment vertical="center"/>
    </xf>
    <xf numFmtId="178" fontId="0" fillId="5" borderId="6" xfId="0" applyNumberForma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5" borderId="10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178" fontId="0" fillId="5" borderId="14" xfId="0" applyNumberFormat="1" applyFill="1" applyBorder="1" applyAlignment="1">
      <alignment horizontal="center" vertical="center"/>
    </xf>
    <xf numFmtId="2" fontId="0" fillId="5" borderId="15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178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22" xfId="0" applyBorder="1">
      <alignment vertical="center"/>
    </xf>
    <xf numFmtId="178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0" fillId="0" borderId="26" xfId="0" applyBorder="1">
      <alignment vertical="center"/>
    </xf>
    <xf numFmtId="178" fontId="0" fillId="5" borderId="26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0" xfId="0" applyNumberForma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3" xfId="0" applyFill="1" applyBorder="1">
      <alignment vertical="center"/>
    </xf>
    <xf numFmtId="179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9" fontId="0" fillId="0" borderId="16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0" fillId="0" borderId="20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9" fontId="0" fillId="0" borderId="24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8" fontId="0" fillId="0" borderId="27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31" xfId="0" applyFill="1" applyBorder="1">
      <alignment vertical="center"/>
    </xf>
    <xf numFmtId="2" fontId="0" fillId="0" borderId="6" xfId="0" applyNumberFormat="1" applyBorder="1">
      <alignment vertical="center"/>
    </xf>
    <xf numFmtId="2" fontId="0" fillId="0" borderId="8" xfId="0" applyNumberFormat="1" applyBorder="1">
      <alignment vertical="center"/>
    </xf>
    <xf numFmtId="2" fontId="0" fillId="0" borderId="9" xfId="0" applyNumberFormat="1" applyBorder="1">
      <alignment vertical="center"/>
    </xf>
    <xf numFmtId="2" fontId="0" fillId="0" borderId="10" xfId="0" applyNumberFormat="1" applyBorder="1">
      <alignment vertical="center"/>
    </xf>
    <xf numFmtId="2" fontId="0" fillId="0" borderId="12" xfId="0" applyNumberFormat="1" applyBorder="1">
      <alignment vertical="center"/>
    </xf>
    <xf numFmtId="2" fontId="0" fillId="0" borderId="13" xfId="0" applyNumberFormat="1" applyBorder="1">
      <alignment vertical="center"/>
    </xf>
    <xf numFmtId="2" fontId="0" fillId="0" borderId="14" xfId="0" applyNumberFormat="1" applyBorder="1">
      <alignment vertical="center"/>
    </xf>
    <xf numFmtId="2" fontId="0" fillId="0" borderId="16" xfId="0" applyNumberFormat="1" applyBorder="1">
      <alignment vertical="center"/>
    </xf>
    <xf numFmtId="2" fontId="0" fillId="0" borderId="17" xfId="0" applyNumberFormat="1" applyBorder="1">
      <alignment vertical="center"/>
    </xf>
    <xf numFmtId="2" fontId="0" fillId="0" borderId="18" xfId="0" applyNumberFormat="1" applyBorder="1">
      <alignment vertical="center"/>
    </xf>
    <xf numFmtId="2" fontId="0" fillId="0" borderId="20" xfId="0" applyNumberFormat="1" applyBorder="1">
      <alignment vertical="center"/>
    </xf>
    <xf numFmtId="2" fontId="0" fillId="0" borderId="21" xfId="0" applyNumberFormat="1" applyBorder="1">
      <alignment vertical="center"/>
    </xf>
    <xf numFmtId="2" fontId="0" fillId="0" borderId="22" xfId="0" applyNumberFormat="1" applyBorder="1">
      <alignment vertical="center"/>
    </xf>
    <xf numFmtId="2" fontId="0" fillId="0" borderId="24" xfId="0" applyNumberFormat="1" applyBorder="1">
      <alignment vertical="center"/>
    </xf>
    <xf numFmtId="2" fontId="0" fillId="0" borderId="25" xfId="0" applyNumberFormat="1" applyBorder="1">
      <alignment vertical="center"/>
    </xf>
    <xf numFmtId="2" fontId="0" fillId="0" borderId="26" xfId="0" applyNumberFormat="1" applyBorder="1">
      <alignment vertical="center"/>
    </xf>
    <xf numFmtId="2" fontId="0" fillId="0" borderId="27" xfId="0" applyNumberFormat="1" applyBorder="1">
      <alignment vertical="center"/>
    </xf>
    <xf numFmtId="2" fontId="0" fillId="0" borderId="28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2" borderId="32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26" xfId="0" applyFill="1" applyBorder="1">
      <alignment vertical="center"/>
    </xf>
    <xf numFmtId="0" fontId="0" fillId="7" borderId="27" xfId="0" applyFill="1" applyBorder="1">
      <alignment vertical="center"/>
    </xf>
    <xf numFmtId="0" fontId="0" fillId="7" borderId="35" xfId="0" applyFill="1" applyBorder="1">
      <alignment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8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8" borderId="37" xfId="0" applyNumberFormat="1" applyFill="1" applyBorder="1" applyAlignment="1">
      <alignment horizontal="center" vertical="center"/>
    </xf>
    <xf numFmtId="4" fontId="0" fillId="0" borderId="38" xfId="0" applyNumberFormat="1" applyBorder="1" applyAlignment="1">
      <alignment horizontal="center" vertical="center"/>
    </xf>
    <xf numFmtId="4" fontId="0" fillId="9" borderId="39" xfId="0" applyNumberFormat="1" applyFill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12" xfId="0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8" borderId="10" xfId="0" applyNumberForma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9" borderId="13" xfId="0" applyNumberForma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2" borderId="10" xfId="0" applyNumberFormat="1" applyFill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16" xfId="0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9" borderId="17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8" borderId="6" xfId="0" applyNumberFormat="1" applyFill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9" borderId="9" xfId="0" applyNumberFormat="1" applyFill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9" borderId="32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6" borderId="42" xfId="0" applyFont="1" applyFill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/>
    </xf>
    <xf numFmtId="0" fontId="3" fillId="7" borderId="45" xfId="0" applyFont="1" applyFill="1" applyBorder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0" fontId="3" fillId="8" borderId="45" xfId="0" applyFont="1" applyFill="1" applyBorder="1">
      <alignment vertical="center"/>
    </xf>
    <xf numFmtId="0" fontId="3" fillId="10" borderId="48" xfId="0" applyFont="1" applyFill="1" applyBorder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2" borderId="51" xfId="0" applyFill="1" applyBorder="1">
      <alignment vertical="center"/>
    </xf>
    <xf numFmtId="0" fontId="0" fillId="2" borderId="52" xfId="0" applyFill="1" applyBorder="1">
      <alignment vertical="center"/>
    </xf>
    <xf numFmtId="0" fontId="0" fillId="2" borderId="53" xfId="0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43" xfId="0" applyFont="1" applyFill="1" applyBorder="1" applyAlignment="1">
      <alignment horizontal="center" vertical="center"/>
    </xf>
    <xf numFmtId="4" fontId="0" fillId="0" borderId="44" xfId="0" applyNumberFormat="1" applyFont="1" applyFill="1" applyBorder="1" applyAlignment="1">
      <alignment horizontal="center" vertical="center"/>
    </xf>
    <xf numFmtId="4" fontId="2" fillId="0" borderId="54" xfId="0" applyNumberFormat="1" applyFont="1" applyFill="1" applyBorder="1" applyAlignment="1">
      <alignment horizontal="center" vertical="center"/>
    </xf>
    <xf numFmtId="4" fontId="2" fillId="0" borderId="38" xfId="0" applyNumberFormat="1" applyFont="1" applyFill="1" applyBorder="1" applyAlignment="1">
      <alignment horizontal="center" vertical="center"/>
    </xf>
    <xf numFmtId="4" fontId="2" fillId="0" borderId="39" xfId="0" applyNumberFormat="1" applyFont="1" applyFill="1" applyBorder="1" applyAlignment="1">
      <alignment horizontal="center" vertical="center"/>
    </xf>
    <xf numFmtId="0" fontId="3" fillId="0" borderId="45" xfId="0" applyFont="1" applyFill="1" applyBorder="1">
      <alignment vertical="center"/>
    </xf>
    <xf numFmtId="0" fontId="3" fillId="0" borderId="46" xfId="0" applyFont="1" applyFill="1" applyBorder="1" applyAlignment="1">
      <alignment horizontal="center" vertical="center"/>
    </xf>
    <xf numFmtId="4" fontId="0" fillId="0" borderId="47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0" fontId="3" fillId="0" borderId="48" xfId="0" applyFont="1" applyFill="1" applyBorder="1">
      <alignment vertical="center"/>
    </xf>
    <xf numFmtId="0" fontId="3" fillId="0" borderId="49" xfId="0" applyFont="1" applyFill="1" applyBorder="1" applyAlignment="1">
      <alignment horizontal="center" vertical="center"/>
    </xf>
    <xf numFmtId="4" fontId="0" fillId="0" borderId="50" xfId="0" applyNumberFormat="1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35" xfId="0" applyFill="1" applyBorder="1">
      <alignment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2" fillId="0" borderId="36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37" xfId="0" applyNumberFormat="1" applyFont="1" applyFill="1" applyBorder="1" applyAlignment="1">
      <alignment horizontal="center" vertical="center"/>
    </xf>
    <xf numFmtId="0" fontId="2" fillId="0" borderId="40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0" fontId="2" fillId="0" borderId="41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2" fillId="0" borderId="0" xfId="0" applyFont="1" applyFill="1">
      <alignment vertical="center"/>
    </xf>
    <xf numFmtId="4" fontId="2" fillId="0" borderId="0" xfId="0" applyNumberFormat="1" applyFont="1" applyFill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45"/>
  <sheetViews>
    <sheetView tabSelected="1" workbookViewId="0">
      <selection activeCell="B11" sqref="B11"/>
    </sheetView>
  </sheetViews>
  <sheetFormatPr defaultColWidth="8.72727272727273" defaultRowHeight="14.5"/>
  <cols>
    <col min="1" max="1" width="3.18181818181818" customWidth="1"/>
    <col min="2" max="2" width="17.7272727272727" customWidth="1"/>
    <col min="5" max="5" width="9.72727272727273" customWidth="1"/>
    <col min="6" max="6" width="8.81818181818182" customWidth="1"/>
    <col min="7" max="7" width="12.1818181818182" customWidth="1"/>
    <col min="8" max="8" width="12.8181818181818"/>
    <col min="9" max="9" width="8.45454545454546" customWidth="1"/>
    <col min="10" max="10" width="10.9090909090909" customWidth="1"/>
    <col min="11" max="11" width="11.7272727272727" customWidth="1"/>
  </cols>
  <sheetData>
    <row r="1" ht="45" customHeight="1" spans="2:8">
      <c r="B1" s="158" t="s">
        <v>0</v>
      </c>
      <c r="C1" s="159"/>
      <c r="D1" s="159"/>
      <c r="E1" s="159"/>
      <c r="F1" s="159"/>
      <c r="G1" s="159"/>
      <c r="H1" s="159"/>
    </row>
    <row r="2" ht="15" customHeight="1" spans="2:8">
      <c r="B2" s="158"/>
      <c r="C2" s="159"/>
      <c r="D2" s="159"/>
      <c r="E2" s="159"/>
      <c r="F2" s="159"/>
      <c r="G2" s="159"/>
      <c r="H2" s="159"/>
    </row>
    <row r="3" ht="15" customHeight="1" spans="2:8">
      <c r="B3" s="160" t="s">
        <v>1</v>
      </c>
      <c r="C3" s="161"/>
      <c r="D3" s="161"/>
      <c r="E3" s="161"/>
      <c r="F3" s="161"/>
      <c r="G3" s="161"/>
      <c r="H3" s="162"/>
    </row>
    <row r="4" ht="15.25" spans="6:12">
      <c r="F4" s="107"/>
      <c r="H4" s="107"/>
      <c r="J4" s="107"/>
      <c r="K4" s="107"/>
      <c r="L4" s="107"/>
    </row>
    <row r="5" ht="15.25" spans="3:12">
      <c r="C5" s="163" t="s">
        <v>2</v>
      </c>
      <c r="D5" s="164" t="s">
        <v>3</v>
      </c>
      <c r="E5" s="164"/>
      <c r="F5" s="164"/>
      <c r="G5" s="163" t="s">
        <v>4</v>
      </c>
      <c r="H5" s="107"/>
      <c r="J5" s="107"/>
      <c r="K5" s="107"/>
      <c r="L5" s="107"/>
    </row>
    <row r="6" ht="15.25" spans="2:7">
      <c r="B6" s="1" t="s">
        <v>5</v>
      </c>
      <c r="C6" s="165" t="s">
        <v>6</v>
      </c>
      <c r="D6" s="166" t="s">
        <v>7</v>
      </c>
      <c r="E6" s="54" t="s">
        <v>8</v>
      </c>
      <c r="F6" s="54" t="s">
        <v>9</v>
      </c>
      <c r="G6" s="111" t="s">
        <v>10</v>
      </c>
    </row>
    <row r="7" ht="16" spans="2:7">
      <c r="B7" s="167" t="s">
        <v>11</v>
      </c>
      <c r="C7" s="168">
        <v>5.4</v>
      </c>
      <c r="D7" s="168">
        <v>900</v>
      </c>
      <c r="E7" s="168">
        <v>500</v>
      </c>
      <c r="F7" s="169">
        <v>11</v>
      </c>
      <c r="G7" s="170">
        <f>E7*D7/1000000</f>
        <v>0.45</v>
      </c>
    </row>
    <row r="8" ht="15.25" spans="2:7">
      <c r="B8" s="171" t="s">
        <v>12</v>
      </c>
      <c r="C8" s="172">
        <v>5.4</v>
      </c>
      <c r="D8" s="172">
        <v>900</v>
      </c>
      <c r="E8" s="172">
        <v>500</v>
      </c>
      <c r="F8" s="173">
        <v>11</v>
      </c>
      <c r="G8" s="174">
        <f>E8*D8/1000000</f>
        <v>0.45</v>
      </c>
    </row>
    <row r="9" ht="15.25" spans="2:12">
      <c r="B9" s="175" t="s">
        <v>13</v>
      </c>
      <c r="C9" s="172">
        <v>5.4</v>
      </c>
      <c r="D9" s="172">
        <v>900</v>
      </c>
      <c r="E9" s="172">
        <v>500</v>
      </c>
      <c r="F9" s="173">
        <v>11</v>
      </c>
      <c r="G9" s="174">
        <f>E9*D9/1000000</f>
        <v>0.45</v>
      </c>
      <c r="H9" s="107"/>
      <c r="J9" s="107"/>
      <c r="K9" s="107"/>
      <c r="L9" s="107"/>
    </row>
    <row r="10" ht="15.25" spans="2:12">
      <c r="B10" s="176" t="s">
        <v>14</v>
      </c>
      <c r="C10" s="177">
        <v>5.4</v>
      </c>
      <c r="D10" s="177">
        <v>900</v>
      </c>
      <c r="E10" s="177">
        <v>500</v>
      </c>
      <c r="F10" s="178">
        <v>11</v>
      </c>
      <c r="G10" s="174">
        <f>E10*D10/1000000</f>
        <v>0.45</v>
      </c>
      <c r="H10" s="152"/>
      <c r="J10" s="152"/>
      <c r="K10" s="152"/>
      <c r="L10" s="152"/>
    </row>
    <row r="11" ht="9" customHeight="1" spans="7:12">
      <c r="G11" s="152"/>
      <c r="H11" s="152"/>
      <c r="J11" s="152"/>
      <c r="K11" s="152"/>
      <c r="L11" s="152"/>
    </row>
    <row r="12" ht="15.25" spans="6:8">
      <c r="F12" s="179" t="str">
        <f>B7</f>
        <v>Camera 1</v>
      </c>
      <c r="G12" s="180"/>
      <c r="H12" s="181"/>
    </row>
    <row r="13" ht="15.25" spans="2:8">
      <c r="B13" s="182" t="s">
        <v>15</v>
      </c>
      <c r="C13" s="183" t="s">
        <v>16</v>
      </c>
      <c r="D13" s="184" t="s">
        <v>17</v>
      </c>
      <c r="E13" s="1" t="s">
        <v>18</v>
      </c>
      <c r="F13" s="129" t="s">
        <v>19</v>
      </c>
      <c r="G13" s="130" t="s">
        <v>20</v>
      </c>
      <c r="H13" s="131" t="s">
        <v>21</v>
      </c>
    </row>
    <row r="14" ht="15.25" spans="2:9">
      <c r="B14" s="185" t="s">
        <v>22</v>
      </c>
      <c r="C14" s="186">
        <v>80</v>
      </c>
      <c r="D14" s="186">
        <v>500</v>
      </c>
      <c r="E14" s="187">
        <f>D14/C14</f>
        <v>6.25</v>
      </c>
      <c r="F14" s="188">
        <f>($C$7/D14)*206</f>
        <v>2.2248</v>
      </c>
      <c r="G14" s="189">
        <f>(($F$7*3460)/(D14))</f>
        <v>76.12</v>
      </c>
      <c r="H14" s="190">
        <f>G14/60</f>
        <v>1.26866666666667</v>
      </c>
      <c r="I14" s="241"/>
    </row>
    <row r="15" spans="2:9">
      <c r="B15" s="191" t="s">
        <v>23</v>
      </c>
      <c r="C15" s="192">
        <v>80</v>
      </c>
      <c r="D15" s="192">
        <v>500</v>
      </c>
      <c r="E15" s="193">
        <f>D15/C15</f>
        <v>6.25</v>
      </c>
      <c r="F15" s="188">
        <f>($C$7/D15)*206</f>
        <v>2.2248</v>
      </c>
      <c r="G15" s="194">
        <f>(($F$7*3460)/(D15))</f>
        <v>76.12</v>
      </c>
      <c r="H15" s="195">
        <f>G15/60</f>
        <v>1.26866666666667</v>
      </c>
      <c r="I15" s="241"/>
    </row>
    <row r="16" spans="2:9">
      <c r="B16" s="191" t="s">
        <v>24</v>
      </c>
      <c r="C16" s="192">
        <v>80</v>
      </c>
      <c r="D16" s="192">
        <v>500</v>
      </c>
      <c r="E16" s="193">
        <f>D16/C16</f>
        <v>6.25</v>
      </c>
      <c r="F16" s="188">
        <f>($C$7/D16)*206</f>
        <v>2.2248</v>
      </c>
      <c r="G16" s="194">
        <f>(($F$7*3460)/(D16))</f>
        <v>76.12</v>
      </c>
      <c r="H16" s="195">
        <f>G16/60</f>
        <v>1.26866666666667</v>
      </c>
      <c r="I16" s="241"/>
    </row>
    <row r="17" spans="2:9">
      <c r="B17" s="191" t="s">
        <v>25</v>
      </c>
      <c r="C17" s="192">
        <v>80</v>
      </c>
      <c r="D17" s="192">
        <v>500</v>
      </c>
      <c r="E17" s="193">
        <f t="shared" ref="E17:E26" si="0">D17/C17</f>
        <v>6.25</v>
      </c>
      <c r="F17" s="188">
        <f>($C$7/D17)*206</f>
        <v>2.2248</v>
      </c>
      <c r="G17" s="194">
        <f>(($F$7*3460)/(D17))</f>
        <v>76.12</v>
      </c>
      <c r="H17" s="195">
        <f t="shared" ref="H17:H26" si="1">G17/60</f>
        <v>1.26866666666667</v>
      </c>
      <c r="I17" s="241"/>
    </row>
    <row r="18" ht="15.25" spans="2:9">
      <c r="B18" s="196" t="s">
        <v>26</v>
      </c>
      <c r="C18" s="197">
        <v>80</v>
      </c>
      <c r="D18" s="197">
        <v>500</v>
      </c>
      <c r="E18" s="198">
        <f t="shared" si="0"/>
        <v>6.25</v>
      </c>
      <c r="F18" s="199">
        <f>($C$7/D18)*206</f>
        <v>2.2248</v>
      </c>
      <c r="G18" s="200">
        <f>(($F$7*3460)/(D18))</f>
        <v>76.12</v>
      </c>
      <c r="H18" s="201">
        <f t="shared" si="1"/>
        <v>1.26866666666667</v>
      </c>
      <c r="I18" s="241"/>
    </row>
    <row r="19" s="157" customFormat="1" ht="9" customHeight="1" spans="2:8">
      <c r="B19" s="202"/>
      <c r="C19" s="203"/>
      <c r="D19" s="203"/>
      <c r="E19" s="204"/>
      <c r="F19" s="205"/>
      <c r="G19" s="204"/>
      <c r="H19" s="205"/>
    </row>
    <row r="20" customFormat="1" ht="15.25" spans="6:9">
      <c r="F20" s="206" t="str">
        <f>B8</f>
        <v>Camera 2</v>
      </c>
      <c r="G20" s="207"/>
      <c r="H20" s="208"/>
      <c r="I20" s="152"/>
    </row>
    <row r="21" customFormat="1" ht="15.25" spans="2:9">
      <c r="B21" s="209" t="s">
        <v>15</v>
      </c>
      <c r="C21" s="210" t="s">
        <v>16</v>
      </c>
      <c r="D21" s="211" t="s">
        <v>17</v>
      </c>
      <c r="E21" s="108" t="s">
        <v>18</v>
      </c>
      <c r="F21" s="212" t="s">
        <v>19</v>
      </c>
      <c r="G21" s="213" t="s">
        <v>20</v>
      </c>
      <c r="H21" s="214" t="s">
        <v>21</v>
      </c>
      <c r="I21" s="152"/>
    </row>
    <row r="22" customFormat="1" spans="2:9">
      <c r="B22" s="215" t="str">
        <f>$B$14</f>
        <v>Scope 1</v>
      </c>
      <c r="C22" s="216">
        <f>$C$14</f>
        <v>80</v>
      </c>
      <c r="D22" s="217">
        <f>$D$14</f>
        <v>500</v>
      </c>
      <c r="E22" s="218">
        <f t="shared" si="0"/>
        <v>6.25</v>
      </c>
      <c r="F22" s="219">
        <f>($C$8/D22)*206</f>
        <v>2.2248</v>
      </c>
      <c r="G22" s="189">
        <f>(($F$8*3460)/(D22))</f>
        <v>76.12</v>
      </c>
      <c r="H22" s="190">
        <f t="shared" si="1"/>
        <v>1.26866666666667</v>
      </c>
      <c r="I22" s="242"/>
    </row>
    <row r="23" customFormat="1" spans="2:9">
      <c r="B23" s="220" t="str">
        <f>$B$15</f>
        <v>Scope 2</v>
      </c>
      <c r="C23" s="221">
        <f>$C$15</f>
        <v>80</v>
      </c>
      <c r="D23" s="222">
        <f>$D$15</f>
        <v>500</v>
      </c>
      <c r="E23" s="223">
        <f t="shared" si="0"/>
        <v>6.25</v>
      </c>
      <c r="F23" s="219">
        <f>($C$8/D23)*206</f>
        <v>2.2248</v>
      </c>
      <c r="G23" s="194">
        <f>(($F$8*3460)/(D23))</f>
        <v>76.12</v>
      </c>
      <c r="H23" s="195">
        <f t="shared" si="1"/>
        <v>1.26866666666667</v>
      </c>
      <c r="I23" s="242"/>
    </row>
    <row r="24" customFormat="1" spans="2:9">
      <c r="B24" s="220" t="str">
        <f>$B$16</f>
        <v>Scope 3</v>
      </c>
      <c r="C24" s="221">
        <f>$C$16</f>
        <v>80</v>
      </c>
      <c r="D24" s="222">
        <f>$D$16</f>
        <v>500</v>
      </c>
      <c r="E24" s="223">
        <f t="shared" si="0"/>
        <v>6.25</v>
      </c>
      <c r="F24" s="219">
        <f>($C$8/D24)*206</f>
        <v>2.2248</v>
      </c>
      <c r="G24" s="194">
        <f>(($F$8*3460)/(D24))</f>
        <v>76.12</v>
      </c>
      <c r="H24" s="195">
        <f t="shared" si="1"/>
        <v>1.26866666666667</v>
      </c>
      <c r="I24" s="242"/>
    </row>
    <row r="25" customFormat="1" spans="2:9">
      <c r="B25" s="220" t="str">
        <f>$B$17</f>
        <v>Scope 4</v>
      </c>
      <c r="C25" s="221">
        <f>$C$17</f>
        <v>80</v>
      </c>
      <c r="D25" s="222">
        <f>$D$17</f>
        <v>500</v>
      </c>
      <c r="E25" s="223">
        <f t="shared" si="0"/>
        <v>6.25</v>
      </c>
      <c r="F25" s="219">
        <f>($C$8/D25)*206</f>
        <v>2.2248</v>
      </c>
      <c r="G25" s="194">
        <f>(($F$8*3460)/(D25))</f>
        <v>76.12</v>
      </c>
      <c r="H25" s="195">
        <f t="shared" si="1"/>
        <v>1.26866666666667</v>
      </c>
      <c r="I25" s="241"/>
    </row>
    <row r="26" customFormat="1" ht="15.25" spans="2:9">
      <c r="B26" s="224" t="str">
        <f>$B$18</f>
        <v>Scope 5</v>
      </c>
      <c r="C26" s="225">
        <f>$C$18</f>
        <v>80</v>
      </c>
      <c r="D26" s="226">
        <f>$D$18</f>
        <v>500</v>
      </c>
      <c r="E26" s="227">
        <f t="shared" si="0"/>
        <v>6.25</v>
      </c>
      <c r="F26" s="228">
        <f>($C$8/D26)*206</f>
        <v>2.2248</v>
      </c>
      <c r="G26" s="200">
        <f>(($F$8*3460)/(D26))</f>
        <v>76.12</v>
      </c>
      <c r="H26" s="201">
        <f t="shared" si="1"/>
        <v>1.26866666666667</v>
      </c>
      <c r="I26" s="241"/>
    </row>
    <row r="27" s="157" customFormat="1" ht="9" customHeight="1" spans="2:8">
      <c r="B27" s="202"/>
      <c r="C27" s="203"/>
      <c r="D27" s="203"/>
      <c r="E27" s="204"/>
      <c r="F27" s="205"/>
      <c r="G27" s="204"/>
      <c r="H27" s="205"/>
    </row>
    <row r="28" customFormat="1" ht="15.25" spans="6:9">
      <c r="F28" s="229" t="str">
        <f>B9</f>
        <v>Camera 3</v>
      </c>
      <c r="G28" s="230"/>
      <c r="H28" s="231"/>
      <c r="I28" s="152"/>
    </row>
    <row r="29" customFormat="1" ht="15.25" spans="2:9">
      <c r="B29" s="209" t="s">
        <v>15</v>
      </c>
      <c r="C29" s="210" t="s">
        <v>16</v>
      </c>
      <c r="D29" s="211" t="s">
        <v>17</v>
      </c>
      <c r="E29" s="108" t="s">
        <v>18</v>
      </c>
      <c r="F29" s="232" t="s">
        <v>19</v>
      </c>
      <c r="G29" s="233" t="s">
        <v>20</v>
      </c>
      <c r="H29" s="234" t="s">
        <v>21</v>
      </c>
      <c r="I29" s="152"/>
    </row>
    <row r="30" customFormat="1" spans="2:9">
      <c r="B30" s="215" t="str">
        <f>$B$14</f>
        <v>Scope 1</v>
      </c>
      <c r="C30" s="216">
        <f>$C$14</f>
        <v>80</v>
      </c>
      <c r="D30" s="217">
        <f>$D$14</f>
        <v>500</v>
      </c>
      <c r="E30" s="218">
        <f t="shared" ref="E27:E34" si="2">D30/C30</f>
        <v>6.25</v>
      </c>
      <c r="F30" s="219">
        <f>($C$9/D30)*206</f>
        <v>2.2248</v>
      </c>
      <c r="G30" s="189">
        <f>(($F$9*3460)/(D30))</f>
        <v>76.12</v>
      </c>
      <c r="H30" s="190">
        <f t="shared" ref="H27:H34" si="3">G30/60</f>
        <v>1.26866666666667</v>
      </c>
      <c r="I30" s="242"/>
    </row>
    <row r="31" customFormat="1" spans="2:9">
      <c r="B31" s="220" t="str">
        <f>$B$15</f>
        <v>Scope 2</v>
      </c>
      <c r="C31" s="221">
        <f>$C$15</f>
        <v>80</v>
      </c>
      <c r="D31" s="222">
        <f>$D$15</f>
        <v>500</v>
      </c>
      <c r="E31" s="223">
        <f t="shared" si="2"/>
        <v>6.25</v>
      </c>
      <c r="F31" s="219">
        <f>($C$9/D31)*206</f>
        <v>2.2248</v>
      </c>
      <c r="G31" s="194">
        <f>(($F$9*3460)/(D31))</f>
        <v>76.12</v>
      </c>
      <c r="H31" s="195">
        <f t="shared" si="3"/>
        <v>1.26866666666667</v>
      </c>
      <c r="I31" s="242"/>
    </row>
    <row r="32" customFormat="1" spans="2:9">
      <c r="B32" s="220" t="str">
        <f>$B$16</f>
        <v>Scope 3</v>
      </c>
      <c r="C32" s="221">
        <f>$C$16</f>
        <v>80</v>
      </c>
      <c r="D32" s="222">
        <f>$D$16</f>
        <v>500</v>
      </c>
      <c r="E32" s="223">
        <f t="shared" si="2"/>
        <v>6.25</v>
      </c>
      <c r="F32" s="219">
        <f>($C$9/D32)*206</f>
        <v>2.2248</v>
      </c>
      <c r="G32" s="194">
        <f>(($F$9*3460)/(D32))</f>
        <v>76.12</v>
      </c>
      <c r="H32" s="195">
        <f t="shared" si="3"/>
        <v>1.26866666666667</v>
      </c>
      <c r="I32" s="242"/>
    </row>
    <row r="33" customFormat="1" spans="2:9">
      <c r="B33" s="220" t="str">
        <f>$B$17</f>
        <v>Scope 4</v>
      </c>
      <c r="C33" s="221">
        <f>$C$17</f>
        <v>80</v>
      </c>
      <c r="D33" s="222">
        <f>$D$17</f>
        <v>500</v>
      </c>
      <c r="E33" s="223">
        <f t="shared" si="2"/>
        <v>6.25</v>
      </c>
      <c r="F33" s="219">
        <f>($C$9/D33)*206</f>
        <v>2.2248</v>
      </c>
      <c r="G33" s="194">
        <f>(($F$9*3460)/(D33))</f>
        <v>76.12</v>
      </c>
      <c r="H33" s="195">
        <f t="shared" si="3"/>
        <v>1.26866666666667</v>
      </c>
      <c r="I33" s="241"/>
    </row>
    <row r="34" customFormat="1" ht="15.25" spans="2:9">
      <c r="B34" s="224" t="str">
        <f>$B$18</f>
        <v>Scope 5</v>
      </c>
      <c r="C34" s="225">
        <f>$C$18</f>
        <v>80</v>
      </c>
      <c r="D34" s="226">
        <f>$D$18</f>
        <v>500</v>
      </c>
      <c r="E34" s="227">
        <f t="shared" si="2"/>
        <v>6.25</v>
      </c>
      <c r="F34" s="228">
        <f>($C$9/D34)*206</f>
        <v>2.2248</v>
      </c>
      <c r="G34" s="200">
        <f>(($F$9*3460)/(D34))</f>
        <v>76.12</v>
      </c>
      <c r="H34" s="201">
        <f t="shared" si="3"/>
        <v>1.26866666666667</v>
      </c>
      <c r="I34" s="241"/>
    </row>
    <row r="35" s="157" customFormat="1" ht="9" customHeight="1" spans="2:8">
      <c r="B35" s="202"/>
      <c r="C35" s="203"/>
      <c r="D35" s="203"/>
      <c r="E35" s="204"/>
      <c r="F35" s="205"/>
      <c r="G35" s="204"/>
      <c r="H35" s="205"/>
    </row>
    <row r="36" ht="15.25" spans="6:9">
      <c r="F36" s="235" t="str">
        <f>B10</f>
        <v>Camera 4</v>
      </c>
      <c r="G36" s="236"/>
      <c r="H36" s="237"/>
      <c r="I36" s="152"/>
    </row>
    <row r="37" ht="15.25" spans="2:9">
      <c r="B37" s="209" t="s">
        <v>15</v>
      </c>
      <c r="C37" s="210" t="s">
        <v>16</v>
      </c>
      <c r="D37" s="211" t="s">
        <v>17</v>
      </c>
      <c r="E37" s="108" t="s">
        <v>18</v>
      </c>
      <c r="F37" s="238" t="s">
        <v>19</v>
      </c>
      <c r="G37" s="239" t="s">
        <v>20</v>
      </c>
      <c r="H37" s="240" t="s">
        <v>21</v>
      </c>
      <c r="I37" s="152"/>
    </row>
    <row r="38" spans="2:9">
      <c r="B38" s="215" t="str">
        <f>$B$14</f>
        <v>Scope 1</v>
      </c>
      <c r="C38" s="216">
        <f>$C$14</f>
        <v>80</v>
      </c>
      <c r="D38" s="217">
        <f>$D$14</f>
        <v>500</v>
      </c>
      <c r="E38" s="218">
        <f t="shared" ref="E35:E42" si="4">D38/C38</f>
        <v>6.25</v>
      </c>
      <c r="F38" s="219">
        <f>($C$10/D38)*206</f>
        <v>2.2248</v>
      </c>
      <c r="G38" s="189">
        <f>(($F$10*3460)/(D38))</f>
        <v>76.12</v>
      </c>
      <c r="H38" s="190">
        <f t="shared" ref="H35:H42" si="5">G38/60</f>
        <v>1.26866666666667</v>
      </c>
      <c r="I38" s="242"/>
    </row>
    <row r="39" spans="2:9">
      <c r="B39" s="220" t="str">
        <f>$B$15</f>
        <v>Scope 2</v>
      </c>
      <c r="C39" s="221">
        <f>$C$15</f>
        <v>80</v>
      </c>
      <c r="D39" s="222">
        <f>$D$15</f>
        <v>500</v>
      </c>
      <c r="E39" s="223">
        <f t="shared" si="4"/>
        <v>6.25</v>
      </c>
      <c r="F39" s="219">
        <f>($C$10/D39)*206</f>
        <v>2.2248</v>
      </c>
      <c r="G39" s="194">
        <f>(($F$10*3460)/(D39))</f>
        <v>76.12</v>
      </c>
      <c r="H39" s="195">
        <f t="shared" si="5"/>
        <v>1.26866666666667</v>
      </c>
      <c r="I39" s="242"/>
    </row>
    <row r="40" spans="2:9">
      <c r="B40" s="220" t="str">
        <f>$B$16</f>
        <v>Scope 3</v>
      </c>
      <c r="C40" s="221">
        <f>$C$16</f>
        <v>80</v>
      </c>
      <c r="D40" s="222">
        <f>$D$16</f>
        <v>500</v>
      </c>
      <c r="E40" s="223">
        <f t="shared" si="4"/>
        <v>6.25</v>
      </c>
      <c r="F40" s="219">
        <f>($C$10/D40)*206</f>
        <v>2.2248</v>
      </c>
      <c r="G40" s="194">
        <f>(($F$10*3460)/(D40))</f>
        <v>76.12</v>
      </c>
      <c r="H40" s="195">
        <f t="shared" si="5"/>
        <v>1.26866666666667</v>
      </c>
      <c r="I40" s="242"/>
    </row>
    <row r="41" spans="2:9">
      <c r="B41" s="220" t="str">
        <f>$B$17</f>
        <v>Scope 4</v>
      </c>
      <c r="C41" s="221">
        <f>$C$17</f>
        <v>80</v>
      </c>
      <c r="D41" s="222">
        <f>$D$17</f>
        <v>500</v>
      </c>
      <c r="E41" s="223">
        <f t="shared" si="4"/>
        <v>6.25</v>
      </c>
      <c r="F41" s="219">
        <f>($C$10/D41)*206</f>
        <v>2.2248</v>
      </c>
      <c r="G41" s="194">
        <f>(($F$10*3460)/(D41))</f>
        <v>76.12</v>
      </c>
      <c r="H41" s="195">
        <f t="shared" si="5"/>
        <v>1.26866666666667</v>
      </c>
      <c r="I41" s="241"/>
    </row>
    <row r="42" ht="15.25" spans="2:9">
      <c r="B42" s="224" t="str">
        <f>$B$18</f>
        <v>Scope 5</v>
      </c>
      <c r="C42" s="225">
        <f>$C$18</f>
        <v>80</v>
      </c>
      <c r="D42" s="226">
        <f>$D$18</f>
        <v>500</v>
      </c>
      <c r="E42" s="227">
        <f t="shared" si="4"/>
        <v>6.25</v>
      </c>
      <c r="F42" s="228">
        <f>($C$10/D42)*206</f>
        <v>2.2248</v>
      </c>
      <c r="G42" s="200">
        <f>(($F$10*3460)/(D42))</f>
        <v>76.12</v>
      </c>
      <c r="H42" s="201">
        <f t="shared" si="5"/>
        <v>1.26866666666667</v>
      </c>
      <c r="I42" s="241"/>
    </row>
    <row r="44" spans="2:2">
      <c r="B44" t="s">
        <v>27</v>
      </c>
    </row>
    <row r="45" spans="2:2">
      <c r="B45" t="s">
        <v>28</v>
      </c>
    </row>
  </sheetData>
  <mergeCells count="7">
    <mergeCell ref="B1:H1"/>
    <mergeCell ref="B3:H3"/>
    <mergeCell ref="D5:F5"/>
    <mergeCell ref="F12:H12"/>
    <mergeCell ref="F20:H20"/>
    <mergeCell ref="F28:H28"/>
    <mergeCell ref="F36:H36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5"/>
  <sheetViews>
    <sheetView workbookViewId="0">
      <selection activeCell="H8" sqref="H8"/>
    </sheetView>
  </sheetViews>
  <sheetFormatPr defaultColWidth="8.72727272727273" defaultRowHeight="14.5"/>
  <cols>
    <col min="1" max="1" width="3.18181818181818" customWidth="1"/>
    <col min="2" max="2" width="15.3636363636364" customWidth="1"/>
    <col min="5" max="5" width="9.72727272727273" customWidth="1"/>
    <col min="6" max="6" width="6.54545454545455" customWidth="1"/>
    <col min="7" max="7" width="12.1818181818182" customWidth="1"/>
    <col min="8" max="8" width="12.8181818181818"/>
    <col min="9" max="9" width="8.45454545454546" customWidth="1"/>
    <col min="10" max="10" width="10.9090909090909" customWidth="1"/>
    <col min="11" max="11" width="11.7272727272727" customWidth="1"/>
  </cols>
  <sheetData>
    <row r="1" ht="15.25" spans="7:12">
      <c r="G1" s="107"/>
      <c r="H1" s="107"/>
      <c r="J1" s="107"/>
      <c r="K1" s="107"/>
      <c r="L1" s="107"/>
    </row>
    <row r="2" ht="15.25" spans="2:7">
      <c r="B2" s="108" t="s">
        <v>5</v>
      </c>
      <c r="C2" s="109" t="s">
        <v>29</v>
      </c>
      <c r="D2" s="110" t="s">
        <v>7</v>
      </c>
      <c r="E2" s="111" t="s">
        <v>8</v>
      </c>
      <c r="F2" s="112" t="s">
        <v>30</v>
      </c>
      <c r="G2" s="111" t="s">
        <v>9</v>
      </c>
    </row>
    <row r="3" ht="15.25" spans="2:7">
      <c r="B3" s="113" t="s">
        <v>31</v>
      </c>
      <c r="C3" s="114">
        <v>0.00586</v>
      </c>
      <c r="D3" s="115">
        <v>1936</v>
      </c>
      <c r="E3" s="116">
        <v>1216</v>
      </c>
      <c r="F3" s="117">
        <f>E3*D3/1000000</f>
        <v>2.354176</v>
      </c>
      <c r="G3" s="116">
        <v>11.3</v>
      </c>
    </row>
    <row r="4" ht="15.25" spans="2:7">
      <c r="B4" s="118" t="s">
        <v>32</v>
      </c>
      <c r="C4" s="119">
        <v>0.00519</v>
      </c>
      <c r="D4" s="120">
        <v>4272</v>
      </c>
      <c r="E4" s="121">
        <v>2848</v>
      </c>
      <c r="F4" s="122">
        <f>E4*D4/1000000</f>
        <v>12.166656</v>
      </c>
      <c r="G4" s="121">
        <v>22.2</v>
      </c>
    </row>
    <row r="5" ht="15.25"/>
    <row r="6" ht="15.25" spans="6:11">
      <c r="F6" s="123" t="s">
        <v>33</v>
      </c>
      <c r="G6" s="124"/>
      <c r="H6" s="125"/>
      <c r="I6" s="123" t="s">
        <v>32</v>
      </c>
      <c r="J6" s="124"/>
      <c r="K6" s="125"/>
    </row>
    <row r="7" ht="15.25" spans="2:11">
      <c r="B7" s="126" t="s">
        <v>15</v>
      </c>
      <c r="C7" s="127" t="s">
        <v>16</v>
      </c>
      <c r="D7" s="127" t="s">
        <v>17</v>
      </c>
      <c r="E7" s="128" t="s">
        <v>18</v>
      </c>
      <c r="F7" s="129" t="s">
        <v>19</v>
      </c>
      <c r="G7" s="130" t="s">
        <v>20</v>
      </c>
      <c r="H7" s="131" t="s">
        <v>21</v>
      </c>
      <c r="I7" s="129" t="s">
        <v>19</v>
      </c>
      <c r="J7" s="130" t="s">
        <v>20</v>
      </c>
      <c r="K7" s="131" t="s">
        <v>21</v>
      </c>
    </row>
    <row r="8" spans="2:11">
      <c r="B8" s="132" t="s">
        <v>34</v>
      </c>
      <c r="C8" s="62">
        <v>60</v>
      </c>
      <c r="D8" s="133">
        <v>420</v>
      </c>
      <c r="E8" s="134">
        <f t="shared" ref="E8:E14" si="0">D8/C8</f>
        <v>7</v>
      </c>
      <c r="F8" s="135">
        <f>$C$3*D8</f>
        <v>2.4612</v>
      </c>
      <c r="G8" s="136">
        <f>(($G$3*3460)/(D8))</f>
        <v>93.0904761904762</v>
      </c>
      <c r="H8" s="137">
        <f t="shared" ref="H8:H14" si="1">G8/60</f>
        <v>1.55150793650794</v>
      </c>
      <c r="I8" s="153">
        <f>$C$4*D8</f>
        <v>2.1798</v>
      </c>
      <c r="J8" s="154">
        <f>(($G$4*3460)/(D8))</f>
        <v>182.885714285714</v>
      </c>
      <c r="K8" s="155">
        <f t="shared" ref="K8:K14" si="2">J8/60</f>
        <v>3.04809523809524</v>
      </c>
    </row>
    <row r="9" spans="2:11">
      <c r="B9" s="138" t="s">
        <v>35</v>
      </c>
      <c r="C9" s="66">
        <v>80</v>
      </c>
      <c r="D9" s="139">
        <v>400</v>
      </c>
      <c r="E9" s="140">
        <f t="shared" si="0"/>
        <v>5</v>
      </c>
      <c r="F9" s="141">
        <f>$C$3*D9</f>
        <v>2.344</v>
      </c>
      <c r="G9" s="142">
        <f>(($G$3*3460)/(D9))</f>
        <v>97.745</v>
      </c>
      <c r="H9" s="143">
        <f t="shared" si="1"/>
        <v>1.62908333333333</v>
      </c>
      <c r="I9" s="141">
        <f>$C$4*D9</f>
        <v>2.076</v>
      </c>
      <c r="J9" s="136">
        <f>(($G$4*3460)/(D9))</f>
        <v>192.03</v>
      </c>
      <c r="K9" s="143">
        <f t="shared" si="2"/>
        <v>3.2005</v>
      </c>
    </row>
    <row r="10" spans="2:11">
      <c r="B10" s="138" t="s">
        <v>36</v>
      </c>
      <c r="C10" s="66">
        <v>120</v>
      </c>
      <c r="D10" s="139">
        <v>600</v>
      </c>
      <c r="E10" s="140">
        <f t="shared" si="0"/>
        <v>5</v>
      </c>
      <c r="F10" s="144">
        <f>$C$3*D10</f>
        <v>3.516</v>
      </c>
      <c r="G10" s="142">
        <f>(($G$3*3460)/(D10))</f>
        <v>65.1633333333333</v>
      </c>
      <c r="H10" s="143">
        <f t="shared" si="1"/>
        <v>1.08605555555556</v>
      </c>
      <c r="I10" s="144">
        <f>$C$4*D10</f>
        <v>3.114</v>
      </c>
      <c r="J10" s="136">
        <f>(($G$4*3460)/(D10))</f>
        <v>128.02</v>
      </c>
      <c r="K10" s="143">
        <f t="shared" si="2"/>
        <v>2.13366666666667</v>
      </c>
    </row>
    <row r="11" spans="2:11">
      <c r="B11" s="138" t="s">
        <v>37</v>
      </c>
      <c r="C11" s="66">
        <v>152</v>
      </c>
      <c r="D11" s="139">
        <v>1370</v>
      </c>
      <c r="E11" s="140">
        <f t="shared" si="0"/>
        <v>9.01315789473684</v>
      </c>
      <c r="F11" s="144">
        <f>$C$3*D11</f>
        <v>8.0282</v>
      </c>
      <c r="G11" s="142">
        <f>(($G$3*3460)/(D11))</f>
        <v>28.5386861313869</v>
      </c>
      <c r="H11" s="143">
        <f t="shared" si="1"/>
        <v>0.475644768856448</v>
      </c>
      <c r="I11" s="144">
        <f>$C$4*D11</f>
        <v>7.1103</v>
      </c>
      <c r="J11" s="136">
        <f>(($G$4*3460)/(D11))</f>
        <v>56.0671532846715</v>
      </c>
      <c r="K11" s="143">
        <f t="shared" si="2"/>
        <v>0.934452554744526</v>
      </c>
    </row>
    <row r="12" spans="2:11">
      <c r="B12" s="138" t="s">
        <v>38</v>
      </c>
      <c r="C12" s="66">
        <v>127</v>
      </c>
      <c r="D12" s="139">
        <v>1900</v>
      </c>
      <c r="E12" s="140">
        <f t="shared" si="0"/>
        <v>14.9606299212598</v>
      </c>
      <c r="F12" s="145">
        <f>$C$3*D12</f>
        <v>11.134</v>
      </c>
      <c r="G12" s="142">
        <f>(($G$3*3460)/(D12))</f>
        <v>20.5778947368421</v>
      </c>
      <c r="H12" s="143">
        <f t="shared" si="1"/>
        <v>0.342964912280702</v>
      </c>
      <c r="I12" s="145">
        <f>$C$4*D12</f>
        <v>9.861</v>
      </c>
      <c r="J12" s="136">
        <f>(($G$4*3460)/(D12))</f>
        <v>40.4273684210526</v>
      </c>
      <c r="K12" s="143">
        <f t="shared" si="2"/>
        <v>0.673789473684211</v>
      </c>
    </row>
    <row r="13" spans="2:11">
      <c r="B13" s="138" t="s">
        <v>39</v>
      </c>
      <c r="C13" s="66">
        <v>200</v>
      </c>
      <c r="D13" s="139">
        <v>2000</v>
      </c>
      <c r="E13" s="140">
        <f t="shared" si="0"/>
        <v>10</v>
      </c>
      <c r="F13" s="145">
        <f>$C$3*D13</f>
        <v>11.72</v>
      </c>
      <c r="G13" s="142">
        <f>(($G$3*3460)/(D13))</f>
        <v>19.549</v>
      </c>
      <c r="H13" s="143">
        <f t="shared" si="1"/>
        <v>0.325816666666667</v>
      </c>
      <c r="I13" s="145">
        <f>$C$4*D13</f>
        <v>10.38</v>
      </c>
      <c r="J13" s="136">
        <f>(($G$4*3460)/(D13))</f>
        <v>38.406</v>
      </c>
      <c r="K13" s="143">
        <f t="shared" si="2"/>
        <v>0.6401</v>
      </c>
    </row>
    <row r="14" ht="15.25" spans="2:11">
      <c r="B14" s="146" t="s">
        <v>40</v>
      </c>
      <c r="C14" s="70">
        <v>250</v>
      </c>
      <c r="D14" s="147">
        <v>2500</v>
      </c>
      <c r="E14" s="148">
        <f t="shared" si="0"/>
        <v>10</v>
      </c>
      <c r="F14" s="149">
        <f>$C$3*D14</f>
        <v>14.65</v>
      </c>
      <c r="G14" s="150">
        <f>(($G$3*3460)/(D14))</f>
        <v>15.6392</v>
      </c>
      <c r="H14" s="151">
        <f t="shared" si="1"/>
        <v>0.260653333333333</v>
      </c>
      <c r="I14" s="149">
        <f>$C$4*D14</f>
        <v>12.975</v>
      </c>
      <c r="J14" s="156">
        <f>(($G$4*3460)/(D14))</f>
        <v>30.7248</v>
      </c>
      <c r="K14" s="151">
        <f t="shared" si="2"/>
        <v>0.51208</v>
      </c>
    </row>
    <row r="15" spans="2:2">
      <c r="B15" t="s">
        <v>41</v>
      </c>
    </row>
    <row r="16" spans="2:2">
      <c r="B16" t="s">
        <v>28</v>
      </c>
    </row>
    <row r="17" spans="7:12">
      <c r="G17" s="107"/>
      <c r="H17" s="107"/>
      <c r="J17" s="107"/>
      <c r="K17" s="107"/>
      <c r="L17" s="107"/>
    </row>
    <row r="18" spans="7:12">
      <c r="G18" s="107"/>
      <c r="H18" s="107"/>
      <c r="J18" s="107"/>
      <c r="K18" s="107"/>
      <c r="L18" s="107"/>
    </row>
    <row r="19" spans="7:12">
      <c r="G19" s="152"/>
      <c r="H19" s="152"/>
      <c r="J19" s="152"/>
      <c r="K19" s="152"/>
      <c r="L19" s="152"/>
    </row>
    <row r="20" spans="7:12">
      <c r="G20" s="152"/>
      <c r="H20" s="152"/>
      <c r="J20" s="152"/>
      <c r="K20" s="152"/>
      <c r="L20" s="152"/>
    </row>
    <row r="21" spans="7:12">
      <c r="G21" s="152"/>
      <c r="H21" s="152"/>
      <c r="J21" s="152"/>
      <c r="K21" s="152"/>
      <c r="L21" s="152"/>
    </row>
    <row r="22" spans="7:12">
      <c r="G22" s="152"/>
      <c r="H22" s="152"/>
      <c r="J22" s="152"/>
      <c r="K22" s="152"/>
      <c r="L22" s="152"/>
    </row>
    <row r="23" spans="7:12">
      <c r="G23" s="152"/>
      <c r="H23" s="152"/>
      <c r="J23" s="152"/>
      <c r="K23" s="152"/>
      <c r="L23" s="152"/>
    </row>
    <row r="24" spans="7:12">
      <c r="G24" s="152"/>
      <c r="H24" s="152"/>
      <c r="J24" s="152"/>
      <c r="K24" s="152"/>
      <c r="L24" s="152"/>
    </row>
    <row r="25" spans="7:12">
      <c r="G25" s="152"/>
      <c r="H25" s="152"/>
      <c r="J25" s="152"/>
      <c r="K25" s="152"/>
      <c r="L25" s="152"/>
    </row>
  </sheetData>
  <mergeCells count="4">
    <mergeCell ref="F6:H6"/>
    <mergeCell ref="I6:K6"/>
    <mergeCell ref="G17:H17"/>
    <mergeCell ref="J17:L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P29"/>
  <sheetViews>
    <sheetView topLeftCell="A4" workbookViewId="0">
      <selection activeCell="B4" sqref="B4:B18"/>
    </sheetView>
  </sheetViews>
  <sheetFormatPr defaultColWidth="8.72727272727273" defaultRowHeight="14.5"/>
  <cols>
    <col min="1" max="1" width="15.5454545454545" customWidth="1"/>
    <col min="2" max="2" width="10"/>
    <col min="4" max="4" width="9.27272727272727" customWidth="1"/>
    <col min="5" max="5" width="9" customWidth="1"/>
    <col min="6" max="6" width="8.36363636363636" customWidth="1"/>
    <col min="7" max="7" width="7.72727272727273" customWidth="1"/>
    <col min="8" max="8" width="8.90909090909091" customWidth="1"/>
    <col min="9" max="9" width="7.81818181818182" customWidth="1"/>
    <col min="10" max="12" width="8.81818181818182" customWidth="1"/>
    <col min="13" max="13" width="7.81818181818182" customWidth="1"/>
    <col min="14" max="16" width="8.81818181818182" customWidth="1"/>
  </cols>
  <sheetData>
    <row r="4" ht="15.25"/>
    <row r="5" spans="1:16">
      <c r="A5" s="1"/>
      <c r="B5" s="51"/>
      <c r="C5" s="52"/>
      <c r="D5" s="53" t="s">
        <v>42</v>
      </c>
      <c r="E5" s="54"/>
      <c r="F5" s="53" t="s">
        <v>10</v>
      </c>
      <c r="G5" s="54"/>
      <c r="H5" s="55"/>
      <c r="I5" s="4" t="s">
        <v>43</v>
      </c>
      <c r="J5" s="5"/>
      <c r="K5" s="5"/>
      <c r="L5" s="6"/>
      <c r="M5" s="7" t="s">
        <v>44</v>
      </c>
      <c r="N5" s="49"/>
      <c r="O5" s="49"/>
      <c r="P5" s="50"/>
    </row>
    <row r="6" ht="15.25" spans="1:16">
      <c r="A6" s="8" t="s">
        <v>5</v>
      </c>
      <c r="B6" s="56" t="s">
        <v>45</v>
      </c>
      <c r="C6" s="57" t="s">
        <v>46</v>
      </c>
      <c r="D6" s="8" t="s">
        <v>47</v>
      </c>
      <c r="E6" s="57" t="s">
        <v>48</v>
      </c>
      <c r="F6" s="8" t="s">
        <v>49</v>
      </c>
      <c r="G6" s="57" t="s">
        <v>50</v>
      </c>
      <c r="H6" s="58" t="s">
        <v>29</v>
      </c>
      <c r="I6" s="83" t="s">
        <v>51</v>
      </c>
      <c r="J6" s="84" t="s">
        <v>52</v>
      </c>
      <c r="K6" s="84" t="s">
        <v>53</v>
      </c>
      <c r="L6" s="85" t="s">
        <v>54</v>
      </c>
      <c r="M6" s="86" t="s">
        <v>51</v>
      </c>
      <c r="N6" s="87" t="s">
        <v>52</v>
      </c>
      <c r="O6" s="87" t="s">
        <v>53</v>
      </c>
      <c r="P6" s="88" t="s">
        <v>54</v>
      </c>
    </row>
    <row r="7" spans="1:16">
      <c r="A7" s="12" t="s">
        <v>55</v>
      </c>
      <c r="B7" s="59">
        <v>11520</v>
      </c>
      <c r="C7" s="60" t="s">
        <v>56</v>
      </c>
      <c r="D7" s="13">
        <v>44</v>
      </c>
      <c r="E7" s="61">
        <v>33</v>
      </c>
      <c r="F7" s="62">
        <v>11656</v>
      </c>
      <c r="G7" s="60">
        <v>8750</v>
      </c>
      <c r="H7" s="14">
        <v>3.76</v>
      </c>
      <c r="I7" s="89">
        <f t="shared" ref="I7:I12" si="0">(H7/500)*206</f>
        <v>1.54912</v>
      </c>
      <c r="J7" s="90">
        <f t="shared" ref="J7:J12" si="1">(H7/1000)*206</f>
        <v>0.77456</v>
      </c>
      <c r="K7" s="90">
        <f t="shared" ref="K7:K12" si="2">(H7/1500)*206</f>
        <v>0.516373333333333</v>
      </c>
      <c r="L7" s="91">
        <f t="shared" ref="L7:L12" si="3">(H7/2000)*206</f>
        <v>0.38728</v>
      </c>
      <c r="M7" s="89">
        <f t="shared" ref="M7:M12" si="4">((D7*3460)/500)/60</f>
        <v>5.07466666666667</v>
      </c>
      <c r="N7" s="90">
        <f t="shared" ref="N7:N12" si="5">((D7*3460)/1000)/60</f>
        <v>2.53733333333333</v>
      </c>
      <c r="O7" s="90">
        <f t="shared" ref="O7:O12" si="6">((D7*3460)/1500)/60</f>
        <v>1.69155555555556</v>
      </c>
      <c r="P7" s="91">
        <f t="shared" ref="P7:P12" si="7">((D7*3460)/2000)/60</f>
        <v>1.26866666666667</v>
      </c>
    </row>
    <row r="8" spans="1:16">
      <c r="A8" s="18" t="s">
        <v>57</v>
      </c>
      <c r="B8" s="63">
        <v>2999</v>
      </c>
      <c r="C8" s="64" t="s">
        <v>58</v>
      </c>
      <c r="D8" s="19">
        <v>36</v>
      </c>
      <c r="E8" s="65">
        <v>24</v>
      </c>
      <c r="F8" s="66">
        <v>6072</v>
      </c>
      <c r="G8" s="64">
        <v>4042</v>
      </c>
      <c r="H8" s="20">
        <v>5.94</v>
      </c>
      <c r="I8" s="92">
        <f t="shared" si="0"/>
        <v>2.44728</v>
      </c>
      <c r="J8" s="93">
        <f t="shared" si="1"/>
        <v>1.22364</v>
      </c>
      <c r="K8" s="93">
        <f t="shared" si="2"/>
        <v>0.81576</v>
      </c>
      <c r="L8" s="94">
        <f t="shared" si="3"/>
        <v>0.61182</v>
      </c>
      <c r="M8" s="92">
        <f t="shared" si="4"/>
        <v>4.152</v>
      </c>
      <c r="N8" s="93">
        <f t="shared" si="5"/>
        <v>2.076</v>
      </c>
      <c r="O8" s="93">
        <f t="shared" si="6"/>
        <v>1.384</v>
      </c>
      <c r="P8" s="94">
        <f t="shared" si="7"/>
        <v>1.038</v>
      </c>
    </row>
    <row r="9" spans="1:16">
      <c r="A9" s="18" t="s">
        <v>59</v>
      </c>
      <c r="B9" s="63">
        <v>1999</v>
      </c>
      <c r="C9" s="64" t="s">
        <v>60</v>
      </c>
      <c r="D9" s="19">
        <v>23.5</v>
      </c>
      <c r="E9" s="65">
        <v>15.7</v>
      </c>
      <c r="F9" s="66">
        <v>6248</v>
      </c>
      <c r="G9" s="64">
        <v>4167</v>
      </c>
      <c r="H9" s="20">
        <v>3.76</v>
      </c>
      <c r="I9" s="92">
        <f t="shared" si="0"/>
        <v>1.54912</v>
      </c>
      <c r="J9" s="93">
        <f t="shared" si="1"/>
        <v>0.77456</v>
      </c>
      <c r="K9" s="93">
        <f t="shared" si="2"/>
        <v>0.516373333333333</v>
      </c>
      <c r="L9" s="94">
        <f t="shared" si="3"/>
        <v>0.38728</v>
      </c>
      <c r="M9" s="92">
        <f t="shared" si="4"/>
        <v>2.71033333333333</v>
      </c>
      <c r="N9" s="93">
        <f t="shared" si="5"/>
        <v>1.35516666666667</v>
      </c>
      <c r="O9" s="93">
        <f t="shared" si="6"/>
        <v>0.903444444444444</v>
      </c>
      <c r="P9" s="94">
        <f t="shared" si="7"/>
        <v>0.677583333333333</v>
      </c>
    </row>
    <row r="10" spans="1:16">
      <c r="A10" s="18" t="s">
        <v>61</v>
      </c>
      <c r="B10" s="63">
        <v>1180</v>
      </c>
      <c r="C10" s="64" t="s">
        <v>62</v>
      </c>
      <c r="D10" s="19">
        <v>19.1</v>
      </c>
      <c r="E10" s="65">
        <v>13</v>
      </c>
      <c r="F10" s="66">
        <v>8288</v>
      </c>
      <c r="G10" s="64">
        <v>5644</v>
      </c>
      <c r="H10" s="20">
        <v>2.3</v>
      </c>
      <c r="I10" s="92">
        <f t="shared" si="0"/>
        <v>0.9476</v>
      </c>
      <c r="J10" s="93">
        <f t="shared" si="1"/>
        <v>0.4738</v>
      </c>
      <c r="K10" s="93">
        <f t="shared" si="2"/>
        <v>0.315866666666667</v>
      </c>
      <c r="L10" s="94">
        <f t="shared" si="3"/>
        <v>0.2369</v>
      </c>
      <c r="M10" s="92">
        <f t="shared" si="4"/>
        <v>2.20286666666667</v>
      </c>
      <c r="N10" s="93">
        <f t="shared" si="5"/>
        <v>1.10143333333333</v>
      </c>
      <c r="O10" s="93">
        <f t="shared" si="6"/>
        <v>0.734288888888889</v>
      </c>
      <c r="P10" s="94">
        <f t="shared" si="7"/>
        <v>0.550716666666667</v>
      </c>
    </row>
    <row r="11" spans="1:16">
      <c r="A11" s="18" t="s">
        <v>63</v>
      </c>
      <c r="B11" s="63">
        <v>899</v>
      </c>
      <c r="C11" s="64" t="s">
        <v>64</v>
      </c>
      <c r="D11" s="19">
        <v>11.3</v>
      </c>
      <c r="E11" s="65">
        <v>11.3</v>
      </c>
      <c r="F11" s="66">
        <v>3008</v>
      </c>
      <c r="G11" s="64">
        <v>3008</v>
      </c>
      <c r="H11" s="20">
        <v>3.76</v>
      </c>
      <c r="I11" s="92">
        <f t="shared" si="0"/>
        <v>1.54912</v>
      </c>
      <c r="J11" s="93">
        <f t="shared" si="1"/>
        <v>0.77456</v>
      </c>
      <c r="K11" s="93">
        <f t="shared" si="2"/>
        <v>0.516373333333333</v>
      </c>
      <c r="L11" s="94">
        <f t="shared" si="3"/>
        <v>0.38728</v>
      </c>
      <c r="M11" s="92">
        <f t="shared" si="4"/>
        <v>1.30326666666667</v>
      </c>
      <c r="N11" s="93">
        <f t="shared" si="5"/>
        <v>0.651633333333333</v>
      </c>
      <c r="O11" s="93">
        <f t="shared" si="6"/>
        <v>0.434422222222222</v>
      </c>
      <c r="P11" s="94">
        <f t="shared" si="7"/>
        <v>0.325816666666667</v>
      </c>
    </row>
    <row r="12" ht="15.25" spans="1:16">
      <c r="A12" s="24" t="s">
        <v>65</v>
      </c>
      <c r="B12" s="67">
        <v>599</v>
      </c>
      <c r="C12" s="68" t="s">
        <v>66</v>
      </c>
      <c r="D12" s="25">
        <v>11.2</v>
      </c>
      <c r="E12" s="69">
        <v>6.3</v>
      </c>
      <c r="F12" s="70">
        <v>3840</v>
      </c>
      <c r="G12" s="68">
        <v>2160</v>
      </c>
      <c r="H12" s="26">
        <v>2.9</v>
      </c>
      <c r="I12" s="95">
        <f t="shared" si="0"/>
        <v>1.1948</v>
      </c>
      <c r="J12" s="96">
        <f t="shared" si="1"/>
        <v>0.5974</v>
      </c>
      <c r="K12" s="96">
        <f t="shared" si="2"/>
        <v>0.398266666666667</v>
      </c>
      <c r="L12" s="97">
        <f t="shared" si="3"/>
        <v>0.2987</v>
      </c>
      <c r="M12" s="95">
        <f t="shared" si="4"/>
        <v>1.29173333333333</v>
      </c>
      <c r="N12" s="96">
        <f t="shared" si="5"/>
        <v>0.645866666666667</v>
      </c>
      <c r="O12" s="96">
        <f t="shared" si="6"/>
        <v>0.430577777777778</v>
      </c>
      <c r="P12" s="97">
        <f t="shared" si="7"/>
        <v>0.322933333333333</v>
      </c>
    </row>
    <row r="13" ht="15.25" spans="1:16">
      <c r="A13" s="30"/>
      <c r="B13" s="71"/>
      <c r="C13" s="72"/>
      <c r="D13" s="31"/>
      <c r="E13" s="73"/>
      <c r="F13" s="74"/>
      <c r="G13" s="72"/>
      <c r="H13" s="32"/>
      <c r="I13" s="98"/>
      <c r="J13" s="99"/>
      <c r="K13" s="99"/>
      <c r="L13" s="100"/>
      <c r="M13" s="98"/>
      <c r="N13" s="99"/>
      <c r="O13" s="99"/>
      <c r="P13" s="100"/>
    </row>
    <row r="14" spans="1:16">
      <c r="A14" s="12" t="s">
        <v>67</v>
      </c>
      <c r="B14" s="59">
        <v>179</v>
      </c>
      <c r="C14" s="60" t="s">
        <v>68</v>
      </c>
      <c r="D14" s="13">
        <v>5.6</v>
      </c>
      <c r="E14" s="61">
        <v>3.2</v>
      </c>
      <c r="F14" s="62">
        <v>3864</v>
      </c>
      <c r="G14" s="60">
        <v>2192</v>
      </c>
      <c r="H14" s="14">
        <v>1.45</v>
      </c>
      <c r="I14" s="89">
        <f>(H14/500)*206</f>
        <v>0.5974</v>
      </c>
      <c r="J14" s="90">
        <f>(H14/1000)*206</f>
        <v>0.2987</v>
      </c>
      <c r="K14" s="90">
        <f>(H14/1500)*206</f>
        <v>0.199133333333333</v>
      </c>
      <c r="L14" s="91">
        <f>(H14/2000)*206</f>
        <v>0.14935</v>
      </c>
      <c r="M14" s="89">
        <f>((D14*3460)/500)/60</f>
        <v>0.645866666666667</v>
      </c>
      <c r="N14" s="90">
        <f>((D14*3460)/1000)/60</f>
        <v>0.322933333333333</v>
      </c>
      <c r="O14" s="90">
        <f>((D14*3460)/1500)/60</f>
        <v>0.215288888888889</v>
      </c>
      <c r="P14" s="91">
        <f>((D14*3460)/2000)/60</f>
        <v>0.161466666666667</v>
      </c>
    </row>
    <row r="15" spans="1:16">
      <c r="A15" s="18" t="s">
        <v>69</v>
      </c>
      <c r="B15" s="63">
        <v>269</v>
      </c>
      <c r="C15" s="64" t="s">
        <v>70</v>
      </c>
      <c r="D15" s="19">
        <v>7.7</v>
      </c>
      <c r="E15" s="65">
        <v>4.3</v>
      </c>
      <c r="F15" s="66">
        <v>3840</v>
      </c>
      <c r="G15" s="64">
        <v>2160</v>
      </c>
      <c r="H15" s="20">
        <v>2</v>
      </c>
      <c r="I15" s="92">
        <f>(H15/500)*206</f>
        <v>0.824</v>
      </c>
      <c r="J15" s="93">
        <f>(H15/1000)*206</f>
        <v>0.412</v>
      </c>
      <c r="K15" s="93">
        <f>(H15/1500)*206</f>
        <v>0.274666666666667</v>
      </c>
      <c r="L15" s="94">
        <f>(H15/2000)*206</f>
        <v>0.206</v>
      </c>
      <c r="M15" s="92">
        <f>((D15*3460)/500)/60</f>
        <v>0.888066666666667</v>
      </c>
      <c r="N15" s="93">
        <f>((D15*3460)/1000)/60</f>
        <v>0.444033333333333</v>
      </c>
      <c r="O15" s="93">
        <f>((D15*3460)/1500)/60</f>
        <v>0.296022222222222</v>
      </c>
      <c r="P15" s="94">
        <f>((D15*3460)/2000)/60</f>
        <v>0.222016666666667</v>
      </c>
    </row>
    <row r="16" ht="15.25" spans="1:16">
      <c r="A16" s="24" t="s">
        <v>71</v>
      </c>
      <c r="B16" s="67">
        <v>359</v>
      </c>
      <c r="C16" s="68" t="s">
        <v>66</v>
      </c>
      <c r="D16" s="25">
        <v>11.2</v>
      </c>
      <c r="E16" s="69">
        <v>6.3</v>
      </c>
      <c r="F16" s="70">
        <v>3840</v>
      </c>
      <c r="G16" s="68">
        <v>2160</v>
      </c>
      <c r="H16" s="26">
        <v>2.9</v>
      </c>
      <c r="I16" s="95">
        <f>(H16/500)*206</f>
        <v>1.1948</v>
      </c>
      <c r="J16" s="96">
        <f>(H16/1000)*206</f>
        <v>0.5974</v>
      </c>
      <c r="K16" s="96">
        <f>(H16/1500)*206</f>
        <v>0.398266666666667</v>
      </c>
      <c r="L16" s="97">
        <f>(H16/2000)*206</f>
        <v>0.2987</v>
      </c>
      <c r="M16" s="95">
        <f>((D16*3460)/500)/60</f>
        <v>1.29173333333333</v>
      </c>
      <c r="N16" s="96">
        <f>((D16*3460)/1000)/60</f>
        <v>0.645866666666667</v>
      </c>
      <c r="O16" s="96">
        <f>((D16*3460)/1500)/60</f>
        <v>0.430577777777778</v>
      </c>
      <c r="P16" s="97">
        <f>((D16*3460)/2000)/60</f>
        <v>0.322933333333333</v>
      </c>
    </row>
    <row r="17" ht="15.25" spans="1:16">
      <c r="A17" s="36"/>
      <c r="B17" s="75"/>
      <c r="C17" s="76"/>
      <c r="D17" s="37"/>
      <c r="E17" s="77"/>
      <c r="F17" s="78"/>
      <c r="G17" s="76"/>
      <c r="H17" s="38"/>
      <c r="I17" s="101"/>
      <c r="J17" s="102"/>
      <c r="K17" s="102"/>
      <c r="L17" s="103"/>
      <c r="M17" s="101"/>
      <c r="N17" s="102"/>
      <c r="O17" s="102"/>
      <c r="P17" s="103"/>
    </row>
    <row r="18" ht="15.25" spans="1:16">
      <c r="A18" s="42" t="s">
        <v>31</v>
      </c>
      <c r="B18" s="79">
        <v>399</v>
      </c>
      <c r="C18" s="80" t="s">
        <v>72</v>
      </c>
      <c r="D18" s="43">
        <v>11.3</v>
      </c>
      <c r="E18" s="81">
        <v>7.1</v>
      </c>
      <c r="F18" s="82">
        <v>1936</v>
      </c>
      <c r="G18" s="80">
        <v>1216</v>
      </c>
      <c r="H18" s="44">
        <v>5.86</v>
      </c>
      <c r="I18" s="104">
        <f>(H18/500)*206</f>
        <v>2.41432</v>
      </c>
      <c r="J18" s="105">
        <f>(H18/1000)*206</f>
        <v>1.20716</v>
      </c>
      <c r="K18" s="105">
        <f>(H18/1500)*206</f>
        <v>0.804773333333333</v>
      </c>
      <c r="L18" s="106">
        <f>(H18/2000)*206</f>
        <v>0.60358</v>
      </c>
      <c r="M18" s="104">
        <f>((D18*3460)/500)/60</f>
        <v>1.30326666666667</v>
      </c>
      <c r="N18" s="105">
        <f>((D18*3460)/1000)/60</f>
        <v>0.651633333333333</v>
      </c>
      <c r="O18" s="105">
        <f>((D18*3460)/1500)/60</f>
        <v>0.434422222222222</v>
      </c>
      <c r="P18" s="106">
        <f>((D18*3460)/2000)/60</f>
        <v>0.325816666666667</v>
      </c>
    </row>
    <row r="19" spans="9:12">
      <c r="I19" s="48"/>
      <c r="J19" s="48"/>
      <c r="K19" s="48"/>
      <c r="L19" s="48"/>
    </row>
    <row r="20" spans="9:12">
      <c r="I20" s="48"/>
      <c r="J20" s="48"/>
      <c r="K20" s="48"/>
      <c r="L20" s="48"/>
    </row>
    <row r="21" spans="9:12">
      <c r="I21" s="48"/>
      <c r="J21" s="48"/>
      <c r="K21" s="48"/>
      <c r="L21" s="48"/>
    </row>
    <row r="22" spans="9:12">
      <c r="I22" s="48"/>
      <c r="J22" s="48"/>
      <c r="K22" s="48"/>
      <c r="L22" s="48"/>
    </row>
    <row r="23" spans="9:12">
      <c r="I23" s="48"/>
      <c r="J23" s="48"/>
      <c r="K23" s="48"/>
      <c r="L23" s="48"/>
    </row>
    <row r="24" spans="9:12">
      <c r="I24" s="48"/>
      <c r="J24" s="48"/>
      <c r="K24" s="48"/>
      <c r="L24" s="48"/>
    </row>
    <row r="25" spans="1:12">
      <c r="A25" t="s">
        <v>41</v>
      </c>
      <c r="I25" s="48"/>
      <c r="J25" s="48"/>
      <c r="K25" s="48"/>
      <c r="L25" s="48"/>
    </row>
    <row r="26" spans="1:12">
      <c r="A26" t="s">
        <v>28</v>
      </c>
      <c r="I26" s="48"/>
      <c r="J26" s="48"/>
      <c r="K26" s="48"/>
      <c r="L26" s="48"/>
    </row>
    <row r="27" spans="9:12">
      <c r="I27" s="48"/>
      <c r="J27" s="48"/>
      <c r="K27" s="48"/>
      <c r="L27" s="48"/>
    </row>
    <row r="28" spans="1:4">
      <c r="A28" t="s">
        <v>73</v>
      </c>
      <c r="D28" t="s">
        <v>74</v>
      </c>
    </row>
    <row r="29" spans="1:1">
      <c r="A29" t="s">
        <v>75</v>
      </c>
    </row>
  </sheetData>
  <mergeCells count="4">
    <mergeCell ref="D5:E5"/>
    <mergeCell ref="F5:G5"/>
    <mergeCell ref="I5:L5"/>
    <mergeCell ref="M5:P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J29"/>
  <sheetViews>
    <sheetView topLeftCell="A4" workbookViewId="0">
      <selection activeCell="B5" sqref="B5:J18"/>
    </sheetView>
  </sheetViews>
  <sheetFormatPr defaultColWidth="8.72727272727273" defaultRowHeight="14.5"/>
  <cols>
    <col min="1" max="1" width="3" customWidth="1"/>
    <col min="2" max="2" width="14.2727272727273" customWidth="1"/>
    <col min="3" max="3" width="9" customWidth="1"/>
    <col min="4" max="4" width="7.81818181818182" customWidth="1"/>
    <col min="5" max="6" width="8.81818181818182" customWidth="1"/>
    <col min="7" max="7" width="7.81818181818182" customWidth="1"/>
    <col min="8" max="9" width="8.81818181818182" customWidth="1"/>
  </cols>
  <sheetData>
    <row r="4" ht="15.25"/>
    <row r="5" ht="15.25" spans="2:10">
      <c r="B5" s="1"/>
      <c r="C5" s="2" t="s">
        <v>42</v>
      </c>
      <c r="D5" s="3"/>
      <c r="E5" s="4" t="s">
        <v>43</v>
      </c>
      <c r="F5" s="5"/>
      <c r="G5" s="6"/>
      <c r="H5" s="7" t="s">
        <v>44</v>
      </c>
      <c r="I5" s="49"/>
      <c r="J5" s="50"/>
    </row>
    <row r="6" ht="15.25" spans="2:10">
      <c r="B6" s="8" t="s">
        <v>5</v>
      </c>
      <c r="C6" s="9" t="s">
        <v>47</v>
      </c>
      <c r="D6" s="9" t="s">
        <v>29</v>
      </c>
      <c r="E6" s="10" t="s">
        <v>51</v>
      </c>
      <c r="F6" s="10" t="s">
        <v>52</v>
      </c>
      <c r="G6" s="10" t="s">
        <v>54</v>
      </c>
      <c r="H6" s="11" t="s">
        <v>51</v>
      </c>
      <c r="I6" s="11" t="s">
        <v>52</v>
      </c>
      <c r="J6" s="11" t="s">
        <v>54</v>
      </c>
    </row>
    <row r="7" spans="2:10">
      <c r="B7" s="12" t="s">
        <v>55</v>
      </c>
      <c r="C7" s="13">
        <v>44</v>
      </c>
      <c r="D7" s="14">
        <v>3.76</v>
      </c>
      <c r="E7" s="15">
        <f t="shared" ref="E7:E12" si="0">(D7/500)*206</f>
        <v>1.54912</v>
      </c>
      <c r="F7" s="16">
        <f t="shared" ref="F7:F12" si="1">(D7/1000)*206</f>
        <v>0.77456</v>
      </c>
      <c r="G7" s="17">
        <f t="shared" ref="G7:G12" si="2">(D7/2000)*206</f>
        <v>0.38728</v>
      </c>
      <c r="H7" s="15">
        <f t="shared" ref="H7:H12" si="3">((C7*3460)/500)/60</f>
        <v>5.07466666666667</v>
      </c>
      <c r="I7" s="16">
        <f t="shared" ref="I7:I12" si="4">((C7*3460)/1000)/60</f>
        <v>2.53733333333333</v>
      </c>
      <c r="J7" s="17">
        <f t="shared" ref="J7:J12" si="5">((C7*3460)/2000)/60</f>
        <v>1.26866666666667</v>
      </c>
    </row>
    <row r="8" spans="2:10">
      <c r="B8" s="18" t="s">
        <v>57</v>
      </c>
      <c r="C8" s="19">
        <v>36</v>
      </c>
      <c r="D8" s="20">
        <v>5.94</v>
      </c>
      <c r="E8" s="21">
        <f t="shared" si="0"/>
        <v>2.44728</v>
      </c>
      <c r="F8" s="22">
        <f t="shared" si="1"/>
        <v>1.22364</v>
      </c>
      <c r="G8" s="23">
        <f t="shared" si="2"/>
        <v>0.61182</v>
      </c>
      <c r="H8" s="21">
        <f t="shared" si="3"/>
        <v>4.152</v>
      </c>
      <c r="I8" s="22">
        <f t="shared" si="4"/>
        <v>2.076</v>
      </c>
      <c r="J8" s="23">
        <f t="shared" si="5"/>
        <v>1.038</v>
      </c>
    </row>
    <row r="9" spans="2:10">
      <c r="B9" s="18" t="s">
        <v>59</v>
      </c>
      <c r="C9" s="19">
        <v>23.5</v>
      </c>
      <c r="D9" s="20">
        <v>3.76</v>
      </c>
      <c r="E9" s="21">
        <f t="shared" si="0"/>
        <v>1.54912</v>
      </c>
      <c r="F9" s="22">
        <f t="shared" si="1"/>
        <v>0.77456</v>
      </c>
      <c r="G9" s="23">
        <f t="shared" si="2"/>
        <v>0.38728</v>
      </c>
      <c r="H9" s="21">
        <f t="shared" si="3"/>
        <v>2.71033333333333</v>
      </c>
      <c r="I9" s="22">
        <f t="shared" si="4"/>
        <v>1.35516666666667</v>
      </c>
      <c r="J9" s="23">
        <f t="shared" si="5"/>
        <v>0.677583333333333</v>
      </c>
    </row>
    <row r="10" spans="2:10">
      <c r="B10" s="18" t="s">
        <v>61</v>
      </c>
      <c r="C10" s="19">
        <v>19.1</v>
      </c>
      <c r="D10" s="20">
        <v>2.3</v>
      </c>
      <c r="E10" s="21">
        <f t="shared" si="0"/>
        <v>0.9476</v>
      </c>
      <c r="F10" s="22">
        <f t="shared" si="1"/>
        <v>0.4738</v>
      </c>
      <c r="G10" s="23">
        <f t="shared" si="2"/>
        <v>0.2369</v>
      </c>
      <c r="H10" s="21">
        <f t="shared" si="3"/>
        <v>2.20286666666667</v>
      </c>
      <c r="I10" s="22">
        <f t="shared" si="4"/>
        <v>1.10143333333333</v>
      </c>
      <c r="J10" s="23">
        <f t="shared" si="5"/>
        <v>0.550716666666667</v>
      </c>
    </row>
    <row r="11" spans="2:10">
      <c r="B11" s="18" t="s">
        <v>63</v>
      </c>
      <c r="C11" s="19">
        <v>11.3</v>
      </c>
      <c r="D11" s="20">
        <v>3.76</v>
      </c>
      <c r="E11" s="21">
        <f t="shared" si="0"/>
        <v>1.54912</v>
      </c>
      <c r="F11" s="22">
        <f t="shared" si="1"/>
        <v>0.77456</v>
      </c>
      <c r="G11" s="23">
        <f t="shared" si="2"/>
        <v>0.38728</v>
      </c>
      <c r="H11" s="21">
        <f t="shared" si="3"/>
        <v>1.30326666666667</v>
      </c>
      <c r="I11" s="22">
        <f t="shared" si="4"/>
        <v>0.651633333333333</v>
      </c>
      <c r="J11" s="23">
        <f t="shared" si="5"/>
        <v>0.325816666666667</v>
      </c>
    </row>
    <row r="12" ht="15.25" spans="2:10">
      <c r="B12" s="24" t="s">
        <v>65</v>
      </c>
      <c r="C12" s="25">
        <v>11.2</v>
      </c>
      <c r="D12" s="26">
        <v>2.9</v>
      </c>
      <c r="E12" s="27">
        <f t="shared" si="0"/>
        <v>1.1948</v>
      </c>
      <c r="F12" s="28">
        <f t="shared" si="1"/>
        <v>0.5974</v>
      </c>
      <c r="G12" s="29">
        <f t="shared" si="2"/>
        <v>0.2987</v>
      </c>
      <c r="H12" s="27">
        <f t="shared" si="3"/>
        <v>1.29173333333333</v>
      </c>
      <c r="I12" s="28">
        <f t="shared" si="4"/>
        <v>0.645866666666667</v>
      </c>
      <c r="J12" s="29">
        <f t="shared" si="5"/>
        <v>0.322933333333333</v>
      </c>
    </row>
    <row r="13" ht="7" customHeight="1" spans="2:10">
      <c r="B13" s="30"/>
      <c r="C13" s="31"/>
      <c r="D13" s="32"/>
      <c r="E13" s="33"/>
      <c r="F13" s="34"/>
      <c r="G13" s="35"/>
      <c r="H13" s="33"/>
      <c r="I13" s="34"/>
      <c r="J13" s="35"/>
    </row>
    <row r="14" spans="2:10">
      <c r="B14" s="12" t="s">
        <v>67</v>
      </c>
      <c r="C14" s="13">
        <v>5.6</v>
      </c>
      <c r="D14" s="14">
        <v>1.45</v>
      </c>
      <c r="E14" s="15">
        <f t="shared" ref="E14:E16" si="6">(D14/500)*206</f>
        <v>0.5974</v>
      </c>
      <c r="F14" s="16">
        <f t="shared" ref="F14:F16" si="7">(D14/1000)*206</f>
        <v>0.2987</v>
      </c>
      <c r="G14" s="17">
        <f t="shared" ref="G14:G16" si="8">(D14/2000)*206</f>
        <v>0.14935</v>
      </c>
      <c r="H14" s="15">
        <f t="shared" ref="H14:H16" si="9">((C14*3460)/500)/60</f>
        <v>0.645866666666667</v>
      </c>
      <c r="I14" s="16">
        <f t="shared" ref="I14:I16" si="10">((C14*3460)/1000)/60</f>
        <v>0.322933333333333</v>
      </c>
      <c r="J14" s="17">
        <f t="shared" ref="J14:J16" si="11">((C14*3460)/2000)/60</f>
        <v>0.161466666666667</v>
      </c>
    </row>
    <row r="15" spans="2:10">
      <c r="B15" s="18" t="s">
        <v>69</v>
      </c>
      <c r="C15" s="19">
        <v>7.7</v>
      </c>
      <c r="D15" s="20">
        <v>2</v>
      </c>
      <c r="E15" s="21">
        <f t="shared" si="6"/>
        <v>0.824</v>
      </c>
      <c r="F15" s="22">
        <f t="shared" si="7"/>
        <v>0.412</v>
      </c>
      <c r="G15" s="23">
        <f t="shared" si="8"/>
        <v>0.206</v>
      </c>
      <c r="H15" s="21">
        <f t="shared" si="9"/>
        <v>0.888066666666667</v>
      </c>
      <c r="I15" s="22">
        <f t="shared" si="10"/>
        <v>0.444033333333333</v>
      </c>
      <c r="J15" s="23">
        <f t="shared" si="11"/>
        <v>0.222016666666667</v>
      </c>
    </row>
    <row r="16" ht="15.25" spans="2:10">
      <c r="B16" s="24" t="s">
        <v>71</v>
      </c>
      <c r="C16" s="25">
        <v>11.2</v>
      </c>
      <c r="D16" s="26">
        <v>2.9</v>
      </c>
      <c r="E16" s="27">
        <f t="shared" si="6"/>
        <v>1.1948</v>
      </c>
      <c r="F16" s="28">
        <f t="shared" si="7"/>
        <v>0.5974</v>
      </c>
      <c r="G16" s="29">
        <f t="shared" si="8"/>
        <v>0.2987</v>
      </c>
      <c r="H16" s="27">
        <f t="shared" si="9"/>
        <v>1.29173333333333</v>
      </c>
      <c r="I16" s="28">
        <f t="shared" si="10"/>
        <v>0.645866666666667</v>
      </c>
      <c r="J16" s="29">
        <f t="shared" si="11"/>
        <v>0.322933333333333</v>
      </c>
    </row>
    <row r="17" ht="6" customHeight="1" spans="2:10">
      <c r="B17" s="36"/>
      <c r="C17" s="37"/>
      <c r="D17" s="38"/>
      <c r="E17" s="39"/>
      <c r="F17" s="40"/>
      <c r="G17" s="41"/>
      <c r="H17" s="39"/>
      <c r="I17" s="40"/>
      <c r="J17" s="41"/>
    </row>
    <row r="18" ht="15.25" spans="2:10">
      <c r="B18" s="42" t="s">
        <v>31</v>
      </c>
      <c r="C18" s="43">
        <v>11.3</v>
      </c>
      <c r="D18" s="44">
        <v>5.86</v>
      </c>
      <c r="E18" s="45">
        <f>(D18/500)*206</f>
        <v>2.41432</v>
      </c>
      <c r="F18" s="46">
        <f>(D18/1000)*206</f>
        <v>1.20716</v>
      </c>
      <c r="G18" s="47">
        <f>(D18/2000)*206</f>
        <v>0.60358</v>
      </c>
      <c r="H18" s="45">
        <f>((C18*3460)/500)/60</f>
        <v>1.30326666666667</v>
      </c>
      <c r="I18" s="46">
        <f>((C18*3460)/1000)/60</f>
        <v>0.651633333333333</v>
      </c>
      <c r="J18" s="47">
        <f>((C18*3460)/2000)/60</f>
        <v>0.325816666666667</v>
      </c>
    </row>
    <row r="19" spans="4:6">
      <c r="D19" s="48"/>
      <c r="E19" s="48"/>
      <c r="F19" s="48"/>
    </row>
    <row r="20" spans="4:6">
      <c r="D20" s="48"/>
      <c r="E20" s="48"/>
      <c r="F20" s="48"/>
    </row>
    <row r="21" spans="4:6">
      <c r="D21" s="48"/>
      <c r="E21" s="48"/>
      <c r="F21" s="48"/>
    </row>
    <row r="22" spans="4:6">
      <c r="D22" s="48"/>
      <c r="E22" s="48"/>
      <c r="F22" s="48"/>
    </row>
    <row r="23" spans="4:6">
      <c r="D23" s="48"/>
      <c r="E23" s="48"/>
      <c r="F23" s="48"/>
    </row>
    <row r="24" spans="4:6">
      <c r="D24" s="48"/>
      <c r="E24" s="48"/>
      <c r="F24" s="48"/>
    </row>
    <row r="25" spans="2:6">
      <c r="B25" t="s">
        <v>41</v>
      </c>
      <c r="D25" s="48"/>
      <c r="E25" s="48"/>
      <c r="F25" s="48"/>
    </row>
    <row r="26" spans="2:6">
      <c r="B26" t="s">
        <v>28</v>
      </c>
      <c r="D26" s="48"/>
      <c r="E26" s="48"/>
      <c r="F26" s="48"/>
    </row>
    <row r="27" spans="4:6">
      <c r="D27" s="48"/>
      <c r="E27" s="48"/>
      <c r="F27" s="48"/>
    </row>
    <row r="28" spans="2:2">
      <c r="B28" t="s">
        <v>73</v>
      </c>
    </row>
    <row r="29" spans="2:2">
      <c r="B29" t="s">
        <v>75</v>
      </c>
    </row>
  </sheetData>
  <mergeCells count="2">
    <mergeCell ref="E5:G5"/>
    <mergeCell ref="H5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Camera worksheet</vt:lpstr>
      <vt:lpstr>Chart 1 for PPT</vt:lpstr>
      <vt:lpstr>Chart 2 for PPT</vt:lpstr>
      <vt:lpstr>Chart 3 for PPT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Heisey</dc:creator>
  <cp:lastModifiedBy>Tom Heisey</cp:lastModifiedBy>
  <dcterms:created xsi:type="dcterms:W3CDTF">2024-07-17T22:37:00Z</dcterms:created>
  <dcterms:modified xsi:type="dcterms:W3CDTF">2024-07-22T03:52:43Z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3881B4EEBBDA4D13AAA612B3CCDD7CEC_11</vt:lpwstr>
  </property>
  <property fmtid="{D5CDD505-2E9C-101B-9397-08002B2CF9AE}" pid="3" name="KSOProductBuildVer">
    <vt:lpwstr>1033-12.2.0.17153</vt:lpwstr>
  </property>
</Properties>
</file>